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05" activeTab="2"/>
  </bookViews>
  <sheets>
    <sheet name="琳琳" sheetId="1" r:id="rId1"/>
    <sheet name="琨瑜" sheetId="2" r:id="rId2"/>
    <sheet name="Sheet3" sheetId="3" r:id="rId3"/>
  </sheets>
  <definedNames/>
  <calcPr fullCalcOnLoad="1"/>
</workbook>
</file>

<file path=xl/comments3.xml><?xml version="1.0" encoding="utf-8"?>
<comments xmlns="http://schemas.openxmlformats.org/spreadsheetml/2006/main">
  <authors>
    <author>Server</author>
  </authors>
  <commentList>
    <comment ref="E20" authorId="0">
      <text>
        <r>
          <rPr>
            <b/>
            <sz val="9"/>
            <rFont val="Tahoma"/>
            <family val="2"/>
          </rPr>
          <t>Server: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其他捐款（蓝色）合计</t>
        </r>
      </text>
    </comment>
  </commentList>
</comments>
</file>

<file path=xl/sharedStrings.xml><?xml version="1.0" encoding="utf-8"?>
<sst xmlns="http://schemas.openxmlformats.org/spreadsheetml/2006/main" count="253" uniqueCount="152">
  <si>
    <t>伦教慈善会2013年募捐活动收入及支出情况汇总表</t>
  </si>
  <si>
    <t>单位：元</t>
  </si>
  <si>
    <t>年度</t>
  </si>
  <si>
    <t>募捐情况</t>
  </si>
  <si>
    <t>支出情况</t>
  </si>
  <si>
    <t>捐款收入项目</t>
  </si>
  <si>
    <t>捐款收入</t>
  </si>
  <si>
    <t>支出项目</t>
  </si>
  <si>
    <t>项目支出金额</t>
  </si>
  <si>
    <t>2008年12月-2012年12月</t>
  </si>
  <si>
    <t>2008年伦教慈善会成立捐款</t>
  </si>
  <si>
    <t>2008年各项费用支出</t>
  </si>
  <si>
    <t xml:space="preserve"> </t>
  </si>
  <si>
    <t>2009年60周年国庆花灯拍卖等捐款</t>
  </si>
  <si>
    <t>2009年各项费用支出</t>
  </si>
  <si>
    <t>2010年广东扶贫济困日及新春慈善晚宴等捐款</t>
  </si>
  <si>
    <t>2010年各项费用支出</t>
  </si>
  <si>
    <t>2011年慈善募捐活动捐款</t>
  </si>
  <si>
    <t>2011年各项费用支出</t>
  </si>
  <si>
    <t>2012年慈善募捐活动捐款</t>
  </si>
  <si>
    <t>2012年各项费用支出</t>
  </si>
  <si>
    <t>合计</t>
  </si>
  <si>
    <t>2013年1-11月份</t>
  </si>
  <si>
    <t>慈善捐款</t>
  </si>
  <si>
    <t>助医</t>
  </si>
  <si>
    <t>重大疾病医疗救助93人</t>
  </si>
  <si>
    <t>定向捐款各村居福利会</t>
  </si>
  <si>
    <t>“送关爱，接福气”慈善捐款</t>
  </si>
  <si>
    <t>外来务工人员救助2人</t>
  </si>
  <si>
    <t>抗震救灾捐款</t>
  </si>
  <si>
    <t>小计</t>
  </si>
  <si>
    <t>翁国基慈善基金</t>
  </si>
  <si>
    <t>助学</t>
  </si>
  <si>
    <t>资助贫困职中中专 2名</t>
  </si>
  <si>
    <t>广东扶贫济困日捐款</t>
  </si>
  <si>
    <t>资助贫困高中生 1 名</t>
  </si>
  <si>
    <t>定向英德扶贫</t>
  </si>
  <si>
    <t>资助贫困大学生 21名</t>
  </si>
  <si>
    <t>利息收入</t>
  </si>
  <si>
    <t>免息循环助学贷款 26 名</t>
  </si>
  <si>
    <t>助残</t>
  </si>
  <si>
    <t>资助23名特殊儿童入读启智学校学费</t>
  </si>
  <si>
    <t>助困</t>
  </si>
  <si>
    <t>春节慰问帮扶因病残、生活困难复退伍军人46名</t>
  </si>
  <si>
    <t>“爱心助困，情暖万家”—2013春节慰问活动535户</t>
  </si>
  <si>
    <t>困难单亲家庭救助56户</t>
  </si>
  <si>
    <t>“爱心六一.情暖童心”慰问69名困难儿童</t>
  </si>
  <si>
    <t>八一建军节困难党员慰问85名</t>
  </si>
  <si>
    <t>“爱心助困，情暖万家”—2013中秋节慰问活动（535户）</t>
  </si>
  <si>
    <t>重阳慰问70名困难老人</t>
  </si>
  <si>
    <t>敬老村居活动经费</t>
  </si>
  <si>
    <t>其他助困开支（罗国华、刘志坚、林楚微、梁焯开）</t>
  </si>
  <si>
    <t>平安钟服务对象补贴25人</t>
  </si>
  <si>
    <t>下拨居家养老服务费40人</t>
  </si>
  <si>
    <t>安颐通助老服务中心平安钟服务费</t>
  </si>
  <si>
    <t>周大福慈善基金</t>
  </si>
  <si>
    <t>周大福医疗救助共 52人</t>
  </si>
  <si>
    <t>资助 350名残疾一、二级的残疾人生活补贴</t>
  </si>
  <si>
    <t>资助贫困小学、初中学生29名</t>
  </si>
  <si>
    <t>资助贫困职中中专9 名</t>
  </si>
  <si>
    <t>资助贫困高中生 11名</t>
  </si>
  <si>
    <t>资助贫困大学生26名</t>
  </si>
  <si>
    <t>其他</t>
  </si>
  <si>
    <t>定向帮扶(英德）</t>
  </si>
  <si>
    <t>拨付村居福利会（定向拨付）</t>
  </si>
  <si>
    <t>拨付青少年发展基金</t>
  </si>
  <si>
    <t>广东扶贫济困日上缴款</t>
  </si>
  <si>
    <t>转拨雅安抗震救灾捐款</t>
  </si>
  <si>
    <t>翁国基慈善基金开支</t>
  </si>
  <si>
    <t>日常人员及办公经费</t>
  </si>
  <si>
    <t>总计</t>
  </si>
  <si>
    <t>注：到2013年11月30日止活期银行存款余额是10,432,339.36元，定期银行存款余额是14,500,000.00元，合共24,932,339.36元。</t>
  </si>
  <si>
    <t>伦教慈善会2008年—2013年募捐活动收入及支出情况汇总表</t>
  </si>
  <si>
    <t>2008年12月-2011年12月</t>
  </si>
  <si>
    <t>2012年</t>
  </si>
  <si>
    <t>2011年慈善募捐及慈善答谢晚会捐款</t>
  </si>
  <si>
    <t>助困开支</t>
  </si>
  <si>
    <t>助医开支</t>
  </si>
  <si>
    <t>粤港澳夏令营公益活动捐款</t>
  </si>
  <si>
    <t>助残开支</t>
  </si>
  <si>
    <t>定向英德扶贫（企业）</t>
  </si>
  <si>
    <t>助学开支</t>
  </si>
  <si>
    <t>定向帮扶(英德、高明）</t>
  </si>
  <si>
    <t>青少年发展基金</t>
  </si>
  <si>
    <t>粤曲晚会捐款</t>
  </si>
  <si>
    <t>夏令营公益活动捐款</t>
  </si>
  <si>
    <r>
      <t>2013年1-1</t>
    </r>
    <r>
      <rPr>
        <sz val="12"/>
        <rFont val="宋体"/>
        <family val="0"/>
      </rPr>
      <t>1</t>
    </r>
    <r>
      <rPr>
        <sz val="12"/>
        <rFont val="宋体"/>
        <family val="0"/>
      </rPr>
      <t>月份</t>
    </r>
  </si>
  <si>
    <t>敬老活动经费</t>
  </si>
  <si>
    <r>
      <t>注：到2013</t>
    </r>
    <r>
      <rPr>
        <sz val="12"/>
        <rFont val="宋体"/>
        <family val="0"/>
      </rPr>
      <t>年</t>
    </r>
    <r>
      <rPr>
        <sz val="12"/>
        <rFont val="宋体"/>
        <family val="0"/>
      </rPr>
      <t>11</t>
    </r>
    <r>
      <rPr>
        <sz val="12"/>
        <rFont val="宋体"/>
        <family val="0"/>
      </rPr>
      <t>月3</t>
    </r>
    <r>
      <rPr>
        <sz val="12"/>
        <rFont val="宋体"/>
        <family val="0"/>
      </rPr>
      <t>0</t>
    </r>
    <r>
      <rPr>
        <sz val="12"/>
        <rFont val="宋体"/>
        <family val="0"/>
      </rPr>
      <t>日止活期银行存款余额是1</t>
    </r>
    <r>
      <rPr>
        <sz val="12"/>
        <rFont val="宋体"/>
        <family val="0"/>
      </rPr>
      <t>0</t>
    </r>
    <r>
      <rPr>
        <sz val="12"/>
        <rFont val="宋体"/>
        <family val="0"/>
      </rPr>
      <t>,</t>
    </r>
    <r>
      <rPr>
        <sz val="12"/>
        <rFont val="宋体"/>
        <family val="0"/>
      </rPr>
      <t>432</t>
    </r>
    <r>
      <rPr>
        <sz val="12"/>
        <rFont val="宋体"/>
        <family val="0"/>
      </rPr>
      <t>,</t>
    </r>
    <r>
      <rPr>
        <sz val="12"/>
        <rFont val="宋体"/>
        <family val="0"/>
      </rPr>
      <t>339.36</t>
    </r>
    <r>
      <rPr>
        <sz val="12"/>
        <rFont val="宋体"/>
        <family val="0"/>
      </rPr>
      <t>元，定期银行存款余额是</t>
    </r>
    <r>
      <rPr>
        <sz val="12"/>
        <rFont val="宋体"/>
        <family val="0"/>
      </rPr>
      <t>14,500,000.00元，合共24,932,339.36元。</t>
    </r>
  </si>
  <si>
    <t>“爱心六一.情暖童心”慰问50名困难儿童</t>
  </si>
  <si>
    <t>八一慰问20户困难家庭</t>
  </si>
  <si>
    <t>资助 378名残疾一、二级的残疾人生活补贴</t>
  </si>
  <si>
    <t>资助贫困小学、初中学生16名</t>
  </si>
  <si>
    <t>伦教敬老院热水器改造</t>
  </si>
  <si>
    <t>资助常教低保.低保临界家庭子女</t>
  </si>
  <si>
    <t>安颐通助老服务中心平安钟服务费</t>
  </si>
  <si>
    <t>下拨居家养老服务费31人</t>
  </si>
  <si>
    <t>周大福医疗救助共 10人</t>
  </si>
  <si>
    <t>何曙华先生奖学金</t>
  </si>
  <si>
    <t>2013年各项费用支出</t>
  </si>
  <si>
    <t>重大疾病医疗救助83人</t>
  </si>
  <si>
    <t>外来务工人员救助4人</t>
  </si>
  <si>
    <t>困难单亲家庭救助78户</t>
  </si>
  <si>
    <t>重阳慰问88名困难老人</t>
  </si>
  <si>
    <t>平安钟服务对象补贴23人</t>
  </si>
  <si>
    <t>资助贫困职中中专2 名</t>
  </si>
  <si>
    <t>资助贫困高中生 4名</t>
  </si>
  <si>
    <t>资助贫困大学生22名</t>
  </si>
  <si>
    <t>云南鲁甸地震善款</t>
  </si>
  <si>
    <t>2014年1-11月份</t>
  </si>
  <si>
    <t>资助23名特殊儿童入读启智学校学费</t>
  </si>
  <si>
    <t>免息循环助学贷款 18 名</t>
  </si>
  <si>
    <t>英德农产品义卖成本款</t>
  </si>
  <si>
    <t>慈善拍卖活动经费</t>
  </si>
  <si>
    <t>春节慰问帮扶因病残、生活困难复退伍军人54名</t>
  </si>
  <si>
    <t>定向罗定邦中学</t>
  </si>
  <si>
    <t>定向帮扶霞石困难学生钟沅君</t>
  </si>
  <si>
    <t>小计</t>
  </si>
  <si>
    <t>鲁甸地震慈善捐款</t>
  </si>
  <si>
    <t>2014年广东省扶贫济困日暨善耆养老院慈善捐款</t>
  </si>
  <si>
    <t>为困难学生派发御寒衣物</t>
  </si>
  <si>
    <t>审核：梁琨瑜</t>
  </si>
  <si>
    <t>伦教街道办事处捐款（助医、助学）</t>
  </si>
  <si>
    <t>伦教慈善会2014年募捐活动收入及支出情况汇总表</t>
  </si>
  <si>
    <t>2013年慈善募捐活动捐款</t>
  </si>
  <si>
    <t>慈善捐款</t>
  </si>
  <si>
    <t>上级补助收入</t>
  </si>
  <si>
    <t>定向各村居社会福利会慈善捐款</t>
  </si>
  <si>
    <t>利息收入</t>
  </si>
  <si>
    <t>助困</t>
  </si>
  <si>
    <t>2014年1-11月份</t>
  </si>
  <si>
    <t>2008年12月-2013年12月</t>
  </si>
  <si>
    <t>裕达珠宝首饰制造有限公司定向培教小学捐款</t>
  </si>
  <si>
    <t>裕达珠宝首饰制造有限公司定向伦教中学捐款</t>
  </si>
  <si>
    <t>伦教中学爱心校友基金</t>
  </si>
  <si>
    <t>顺达电脑厂定向帮扶常教困难学生</t>
  </si>
  <si>
    <t>顺德龟鳖养殖协会冠名基金</t>
  </si>
  <si>
    <t>“爱心助困，情暖万家”—2014春节慰问活动511户</t>
  </si>
  <si>
    <t>其他助困开支（王永乐、梁耀基）</t>
  </si>
  <si>
    <t>3月缤纷插花义卖款定向常教助困</t>
  </si>
  <si>
    <t>定向帮扶困难学生林楚微</t>
  </si>
  <si>
    <t>各企业定向各村居敬老活动款</t>
  </si>
  <si>
    <t>翁国基慈善基金开支（公益创投）</t>
  </si>
  <si>
    <t>办公经费（人员工资、社保费用）</t>
  </si>
  <si>
    <t>其他费用（年刊制作、宣传费用等）</t>
  </si>
  <si>
    <t>办公设备购置</t>
  </si>
  <si>
    <t>制表：梁安琪</t>
  </si>
  <si>
    <t>“爱心助困，情暖万家”—2014中秋节慰问活动438户</t>
  </si>
  <si>
    <t>注：到2014年11月30日止活期银行存款余额是14,593,376.46元，定期银行存款余额是14,500,000.00元，合共29,093,376.46元。</t>
  </si>
  <si>
    <t>村居敬老活动经费</t>
  </si>
  <si>
    <t>伦教社会福利基金会定向伦教敬老院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</si>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</sst>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#,##0.00_ "/>
    <numFmt numFmtId="179" formatCode="#,##0.00_);[Red]\(#,##0.0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8"/>
      <name val="方正小标宋简体"/>
      <family val="0"/>
    </font>
    <font>
      <sz val="10"/>
      <name val="方正小标宋简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79" fontId="4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6" fillId="0" borderId="3" xfId="0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78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56"/>
    </sheetView>
  </sheetViews>
  <sheetFormatPr defaultColWidth="9.00390625" defaultRowHeight="14.25"/>
  <cols>
    <col min="1" max="1" width="11.125" style="34" customWidth="1"/>
    <col min="2" max="2" width="36.25390625" style="34" customWidth="1"/>
    <col min="3" max="3" width="15.875" style="34" customWidth="1"/>
    <col min="4" max="4" width="8.625" style="35" customWidth="1"/>
    <col min="5" max="5" width="34.375" style="36" customWidth="1"/>
    <col min="6" max="6" width="18.875" style="34" customWidth="1"/>
    <col min="7" max="7" width="11.50390625" style="34" customWidth="1"/>
    <col min="8" max="16384" width="9.00390625" style="34" customWidth="1"/>
  </cols>
  <sheetData>
    <row r="1" spans="1:6" ht="14.25">
      <c r="A1" s="83" t="s">
        <v>0</v>
      </c>
      <c r="B1" s="83"/>
      <c r="C1" s="83"/>
      <c r="D1" s="83"/>
      <c r="E1" s="84"/>
      <c r="F1" s="83"/>
    </row>
    <row r="2" spans="1:6" ht="14.25">
      <c r="A2" s="85"/>
      <c r="B2" s="85"/>
      <c r="C2" s="85"/>
      <c r="D2" s="85"/>
      <c r="E2" s="86"/>
      <c r="F2" s="85"/>
    </row>
    <row r="3" spans="1:6" ht="22.5">
      <c r="A3" s="1"/>
      <c r="B3" s="80"/>
      <c r="C3" s="80"/>
      <c r="D3" s="80"/>
      <c r="E3" s="81" t="s">
        <v>1</v>
      </c>
      <c r="F3" s="82"/>
    </row>
    <row r="4" spans="1:6" ht="15.75" customHeight="1">
      <c r="A4" s="91" t="s">
        <v>2</v>
      </c>
      <c r="B4" s="91" t="s">
        <v>3</v>
      </c>
      <c r="C4" s="91"/>
      <c r="D4" s="87" t="s">
        <v>4</v>
      </c>
      <c r="E4" s="79"/>
      <c r="F4" s="91"/>
    </row>
    <row r="5" spans="1:6" ht="15.75" customHeight="1">
      <c r="A5" s="91"/>
      <c r="B5" s="37" t="s">
        <v>5</v>
      </c>
      <c r="C5" s="37" t="s">
        <v>6</v>
      </c>
      <c r="D5" s="87" t="s">
        <v>7</v>
      </c>
      <c r="E5" s="79"/>
      <c r="F5" s="37" t="s">
        <v>8</v>
      </c>
    </row>
    <row r="6" spans="1:7" ht="15.75" customHeight="1">
      <c r="A6" s="87" t="s">
        <v>9</v>
      </c>
      <c r="B6" s="30" t="s">
        <v>10</v>
      </c>
      <c r="C6" s="29">
        <v>3516070.5</v>
      </c>
      <c r="D6" s="87" t="s">
        <v>11</v>
      </c>
      <c r="E6" s="92"/>
      <c r="F6" s="29">
        <v>0</v>
      </c>
      <c r="G6" s="34" t="s">
        <v>12</v>
      </c>
    </row>
    <row r="7" spans="1:7" ht="15.75" customHeight="1">
      <c r="A7" s="87"/>
      <c r="B7" s="30" t="s">
        <v>13</v>
      </c>
      <c r="C7" s="29">
        <v>339436.4</v>
      </c>
      <c r="D7" s="87" t="s">
        <v>14</v>
      </c>
      <c r="E7" s="92"/>
      <c r="F7" s="29">
        <v>145830</v>
      </c>
      <c r="G7" s="34" t="s">
        <v>12</v>
      </c>
    </row>
    <row r="8" spans="1:7" ht="15.75" customHeight="1">
      <c r="A8" s="87"/>
      <c r="B8" s="30" t="s">
        <v>15</v>
      </c>
      <c r="C8" s="29">
        <v>6463718.4</v>
      </c>
      <c r="D8" s="87" t="s">
        <v>16</v>
      </c>
      <c r="E8" s="92"/>
      <c r="F8" s="29">
        <v>3903067.98</v>
      </c>
      <c r="G8" s="34" t="s">
        <v>12</v>
      </c>
    </row>
    <row r="9" spans="1:6" ht="15.75" customHeight="1">
      <c r="A9" s="87"/>
      <c r="B9" s="30" t="s">
        <v>17</v>
      </c>
      <c r="C9" s="29">
        <v>14099266.8</v>
      </c>
      <c r="D9" s="87" t="s">
        <v>18</v>
      </c>
      <c r="E9" s="92"/>
      <c r="F9" s="29">
        <v>9701108.6</v>
      </c>
    </row>
    <row r="10" spans="1:6" ht="15.75" customHeight="1">
      <c r="A10" s="87"/>
      <c r="B10" s="30" t="s">
        <v>19</v>
      </c>
      <c r="C10" s="29">
        <v>14709127.870000001</v>
      </c>
      <c r="D10" s="87" t="s">
        <v>20</v>
      </c>
      <c r="E10" s="92"/>
      <c r="F10" s="29">
        <v>8794588.370000001</v>
      </c>
    </row>
    <row r="11" spans="1:6" ht="15.75" customHeight="1">
      <c r="A11" s="87"/>
      <c r="B11" s="39" t="s">
        <v>21</v>
      </c>
      <c r="C11" s="40">
        <f>SUM(C6:C10)</f>
        <v>39127619.97</v>
      </c>
      <c r="D11" s="77" t="s">
        <v>21</v>
      </c>
      <c r="E11" s="78"/>
      <c r="F11" s="40">
        <f>F6+F7+F8+F9</f>
        <v>13750006.58</v>
      </c>
    </row>
    <row r="12" spans="1:6" ht="15.75" customHeight="1">
      <c r="A12" s="87" t="s">
        <v>22</v>
      </c>
      <c r="B12" s="28" t="s">
        <v>23</v>
      </c>
      <c r="C12" s="29">
        <f>7625.5+9940+2400+400+107000+380+29847.4+12022+29313+38458.1+15800+2678+50000+230000+30500+30000-3787</f>
        <v>592577</v>
      </c>
      <c r="D12" s="76" t="s">
        <v>24</v>
      </c>
      <c r="E12" s="88" t="s">
        <v>25</v>
      </c>
      <c r="F12" s="89">
        <f>959100-118400</f>
        <v>840700</v>
      </c>
    </row>
    <row r="13" spans="1:6" ht="15.75" customHeight="1">
      <c r="A13" s="87"/>
      <c r="B13" s="30" t="s">
        <v>26</v>
      </c>
      <c r="C13" s="29">
        <f>16000+345650+60000+80000+151000+541860+50000+356000</f>
        <v>1600510</v>
      </c>
      <c r="D13" s="76"/>
      <c r="E13" s="88"/>
      <c r="F13" s="89"/>
    </row>
    <row r="14" spans="1:6" ht="15.75" customHeight="1">
      <c r="A14" s="87"/>
      <c r="B14" s="30" t="s">
        <v>27</v>
      </c>
      <c r="C14" s="29">
        <f>371500+10000</f>
        <v>381500</v>
      </c>
      <c r="D14" s="43"/>
      <c r="E14" s="44" t="s">
        <v>28</v>
      </c>
      <c r="F14" s="45">
        <v>20000</v>
      </c>
    </row>
    <row r="15" spans="1:6" ht="15.75" customHeight="1">
      <c r="A15" s="87"/>
      <c r="B15" s="30" t="s">
        <v>29</v>
      </c>
      <c r="C15" s="29">
        <f>163233+3787</f>
        <v>167020</v>
      </c>
      <c r="D15" s="46" t="s">
        <v>30</v>
      </c>
      <c r="E15" s="90">
        <f>SUM(F12:F14)</f>
        <v>860700</v>
      </c>
      <c r="F15" s="91"/>
    </row>
    <row r="16" spans="1:6" ht="15.75" customHeight="1">
      <c r="A16" s="87"/>
      <c r="B16" s="30" t="s">
        <v>31</v>
      </c>
      <c r="C16" s="29">
        <v>10000000</v>
      </c>
      <c r="D16" s="76" t="s">
        <v>32</v>
      </c>
      <c r="E16" s="47" t="s">
        <v>33</v>
      </c>
      <c r="F16" s="30">
        <v>6000</v>
      </c>
    </row>
    <row r="17" spans="1:6" ht="15.75" customHeight="1">
      <c r="A17" s="87"/>
      <c r="B17" s="30" t="s">
        <v>34</v>
      </c>
      <c r="C17" s="29">
        <v>1008258.9</v>
      </c>
      <c r="D17" s="76"/>
      <c r="E17" s="47" t="s">
        <v>35</v>
      </c>
      <c r="F17" s="30">
        <v>2625</v>
      </c>
    </row>
    <row r="18" spans="1:6" ht="15.75" customHeight="1">
      <c r="A18" s="87"/>
      <c r="B18" s="28" t="s">
        <v>36</v>
      </c>
      <c r="C18" s="29">
        <v>1150000</v>
      </c>
      <c r="D18" s="76"/>
      <c r="E18" s="47" t="s">
        <v>37</v>
      </c>
      <c r="F18" s="30">
        <v>74250</v>
      </c>
    </row>
    <row r="19" spans="1:6" ht="15.75" customHeight="1">
      <c r="A19" s="87"/>
      <c r="B19" s="30" t="s">
        <v>38</v>
      </c>
      <c r="C19" s="29">
        <f>570000+49083.33</f>
        <v>619083.33</v>
      </c>
      <c r="D19" s="76"/>
      <c r="E19" s="47" t="s">
        <v>39</v>
      </c>
      <c r="F19" s="30">
        <v>130000</v>
      </c>
    </row>
    <row r="20" spans="1:6" ht="15.75" customHeight="1">
      <c r="A20" s="87"/>
      <c r="B20" s="30"/>
      <c r="C20" s="30"/>
      <c r="D20" s="46" t="s">
        <v>30</v>
      </c>
      <c r="E20" s="90">
        <f>SUM(F16:F19)</f>
        <v>212875</v>
      </c>
      <c r="F20" s="91"/>
    </row>
    <row r="21" spans="1:6" ht="15.75" customHeight="1">
      <c r="A21" s="87"/>
      <c r="B21" s="30"/>
      <c r="C21" s="30"/>
      <c r="D21" s="38" t="s">
        <v>40</v>
      </c>
      <c r="E21" s="47" t="s">
        <v>41</v>
      </c>
      <c r="F21" s="30">
        <v>46000</v>
      </c>
    </row>
    <row r="22" spans="1:6" ht="15.75" customHeight="1">
      <c r="A22" s="87"/>
      <c r="B22" s="30"/>
      <c r="C22" s="30"/>
      <c r="D22" s="41" t="s">
        <v>30</v>
      </c>
      <c r="E22" s="90">
        <f>SUM(F21:F21)</f>
        <v>46000</v>
      </c>
      <c r="F22" s="87"/>
    </row>
    <row r="23" spans="1:6" ht="15.75" customHeight="1">
      <c r="A23" s="87"/>
      <c r="B23" s="30"/>
      <c r="C23" s="30"/>
      <c r="D23" s="87" t="s">
        <v>42</v>
      </c>
      <c r="E23" s="47" t="s">
        <v>43</v>
      </c>
      <c r="F23" s="30">
        <v>47000</v>
      </c>
    </row>
    <row r="24" spans="1:6" ht="33" customHeight="1">
      <c r="A24" s="87"/>
      <c r="B24" s="30"/>
      <c r="C24" s="30"/>
      <c r="D24" s="87"/>
      <c r="E24" s="47" t="s">
        <v>44</v>
      </c>
      <c r="F24" s="30">
        <v>160478</v>
      </c>
    </row>
    <row r="25" spans="1:6" ht="18.75" customHeight="1">
      <c r="A25" s="87"/>
      <c r="B25" s="30"/>
      <c r="C25" s="30"/>
      <c r="D25" s="87"/>
      <c r="E25" s="47" t="s">
        <v>45</v>
      </c>
      <c r="F25" s="30">
        <v>200000</v>
      </c>
    </row>
    <row r="26" spans="1:6" ht="15.75" customHeight="1">
      <c r="A26" s="87"/>
      <c r="B26" s="30"/>
      <c r="C26" s="30"/>
      <c r="D26" s="87"/>
      <c r="E26" s="47" t="s">
        <v>46</v>
      </c>
      <c r="F26" s="30">
        <v>34500</v>
      </c>
    </row>
    <row r="27" spans="1:6" ht="15.75" customHeight="1">
      <c r="A27" s="87"/>
      <c r="B27" s="30"/>
      <c r="C27" s="30"/>
      <c r="D27" s="87"/>
      <c r="E27" s="47" t="s">
        <v>47</v>
      </c>
      <c r="F27" s="30">
        <f>39000+10000</f>
        <v>49000</v>
      </c>
    </row>
    <row r="28" spans="1:6" ht="27" customHeight="1">
      <c r="A28" s="87" t="s">
        <v>22</v>
      </c>
      <c r="B28" s="30"/>
      <c r="C28" s="30"/>
      <c r="D28" s="87" t="s">
        <v>42</v>
      </c>
      <c r="E28" s="47" t="s">
        <v>48</v>
      </c>
      <c r="F28" s="30">
        <f>25440+9038+81000+107000</f>
        <v>222478</v>
      </c>
    </row>
    <row r="29" spans="1:6" ht="15.75" customHeight="1">
      <c r="A29" s="87"/>
      <c r="B29" s="30"/>
      <c r="C29" s="30"/>
      <c r="D29" s="87"/>
      <c r="E29" s="47" t="s">
        <v>49</v>
      </c>
      <c r="F29" s="30">
        <v>35000</v>
      </c>
    </row>
    <row r="30" spans="1:6" ht="18" customHeight="1">
      <c r="A30" s="87"/>
      <c r="B30" s="30"/>
      <c r="C30" s="30"/>
      <c r="D30" s="87"/>
      <c r="E30" s="47" t="s">
        <v>50</v>
      </c>
      <c r="F30" s="29">
        <v>100000</v>
      </c>
    </row>
    <row r="31" spans="1:6" ht="33" customHeight="1">
      <c r="A31" s="87"/>
      <c r="B31" s="30"/>
      <c r="C31" s="30"/>
      <c r="D31" s="87"/>
      <c r="E31" s="47" t="s">
        <v>51</v>
      </c>
      <c r="F31" s="30">
        <f>7000+3000+6000+2000</f>
        <v>18000</v>
      </c>
    </row>
    <row r="32" spans="1:6" ht="33" customHeight="1">
      <c r="A32" s="87"/>
      <c r="B32" s="30"/>
      <c r="C32" s="30"/>
      <c r="D32" s="38"/>
      <c r="E32" s="47" t="s">
        <v>52</v>
      </c>
      <c r="F32" s="30">
        <v>4950</v>
      </c>
    </row>
    <row r="33" spans="1:6" ht="33" customHeight="1">
      <c r="A33" s="87"/>
      <c r="B33" s="30"/>
      <c r="C33" s="30"/>
      <c r="D33" s="38"/>
      <c r="E33" s="47" t="s">
        <v>53</v>
      </c>
      <c r="F33" s="30">
        <f>40*300*6+39*440*5</f>
        <v>157800</v>
      </c>
    </row>
    <row r="34" spans="1:6" ht="33" customHeight="1">
      <c r="A34" s="87"/>
      <c r="B34" s="30"/>
      <c r="C34" s="30"/>
      <c r="D34" s="38"/>
      <c r="E34" s="47" t="s">
        <v>54</v>
      </c>
      <c r="F34" s="30">
        <v>5500</v>
      </c>
    </row>
    <row r="35" spans="1:6" ht="15.75" customHeight="1">
      <c r="A35" s="87"/>
      <c r="B35" s="30"/>
      <c r="C35" s="30"/>
      <c r="D35" s="41" t="s">
        <v>30</v>
      </c>
      <c r="E35" s="90">
        <f>SUM(F23:F34)</f>
        <v>1034706</v>
      </c>
      <c r="F35" s="87"/>
    </row>
    <row r="36" spans="1:6" ht="15.75" customHeight="1">
      <c r="A36" s="87"/>
      <c r="B36" s="30"/>
      <c r="C36" s="30"/>
      <c r="D36" s="87" t="s">
        <v>55</v>
      </c>
      <c r="E36" s="47" t="s">
        <v>56</v>
      </c>
      <c r="F36" s="45">
        <f>459800-57800</f>
        <v>402000</v>
      </c>
    </row>
    <row r="37" spans="1:6" ht="15.75" customHeight="1">
      <c r="A37" s="87"/>
      <c r="B37" s="30"/>
      <c r="C37" s="30"/>
      <c r="D37" s="87"/>
      <c r="E37" s="44" t="s">
        <v>57</v>
      </c>
      <c r="F37" s="45">
        <v>252600</v>
      </c>
    </row>
    <row r="38" spans="1:6" ht="15" customHeight="1">
      <c r="A38" s="87"/>
      <c r="B38" s="30"/>
      <c r="C38" s="30"/>
      <c r="D38" s="87"/>
      <c r="E38" s="44" t="s">
        <v>58</v>
      </c>
      <c r="F38" s="45">
        <v>29000</v>
      </c>
    </row>
    <row r="39" spans="1:6" ht="15.75" customHeight="1">
      <c r="A39" s="87"/>
      <c r="B39" s="30"/>
      <c r="C39" s="30"/>
      <c r="D39" s="87"/>
      <c r="E39" s="47" t="s">
        <v>59</v>
      </c>
      <c r="F39" s="45">
        <v>18000</v>
      </c>
    </row>
    <row r="40" spans="1:6" ht="15.75" customHeight="1">
      <c r="A40" s="87"/>
      <c r="B40" s="30"/>
      <c r="C40" s="30"/>
      <c r="D40" s="87"/>
      <c r="E40" s="47" t="s">
        <v>60</v>
      </c>
      <c r="F40" s="45">
        <v>16500</v>
      </c>
    </row>
    <row r="41" spans="1:6" ht="15.75" customHeight="1">
      <c r="A41" s="87"/>
      <c r="B41" s="30"/>
      <c r="C41" s="30"/>
      <c r="D41" s="87"/>
      <c r="E41" s="47" t="s">
        <v>61</v>
      </c>
      <c r="F41" s="45">
        <v>91000</v>
      </c>
    </row>
    <row r="42" spans="1:6" ht="15.75" customHeight="1">
      <c r="A42" s="87"/>
      <c r="B42" s="30"/>
      <c r="C42" s="30"/>
      <c r="D42" s="41" t="s">
        <v>30</v>
      </c>
      <c r="E42" s="90">
        <f>SUM(F36:F41)</f>
        <v>809100</v>
      </c>
      <c r="F42" s="91"/>
    </row>
    <row r="43" spans="1:6" ht="15.75" customHeight="1">
      <c r="A43" s="87"/>
      <c r="B43" s="30"/>
      <c r="C43" s="30"/>
      <c r="D43" s="87" t="s">
        <v>62</v>
      </c>
      <c r="E43" s="44" t="s">
        <v>63</v>
      </c>
      <c r="F43" s="29">
        <f>25000+17500+17500+300000+25000+100000+665000</f>
        <v>1150000</v>
      </c>
    </row>
    <row r="44" spans="1:6" ht="15.75" customHeight="1">
      <c r="A44" s="87"/>
      <c r="B44" s="30"/>
      <c r="C44" s="30"/>
      <c r="D44" s="87"/>
      <c r="E44" s="47" t="s">
        <v>64</v>
      </c>
      <c r="F44" s="29">
        <f>427650-47000+83000+504860</f>
        <v>968510</v>
      </c>
    </row>
    <row r="45" spans="1:6" ht="15.75" customHeight="1">
      <c r="A45" s="87"/>
      <c r="B45" s="30"/>
      <c r="C45" s="30"/>
      <c r="D45" s="87"/>
      <c r="E45" s="47" t="s">
        <v>65</v>
      </c>
      <c r="F45" s="29">
        <f>15000+43200+57514</f>
        <v>115714</v>
      </c>
    </row>
    <row r="46" spans="1:6" ht="15.75" customHeight="1">
      <c r="A46" s="87"/>
      <c r="B46" s="30"/>
      <c r="C46" s="30"/>
      <c r="D46" s="87"/>
      <c r="E46" s="47" t="s">
        <v>66</v>
      </c>
      <c r="F46" s="29">
        <f>302100</f>
        <v>302100</v>
      </c>
    </row>
    <row r="47" spans="1:6" ht="15.75" customHeight="1">
      <c r="A47" s="87"/>
      <c r="B47" s="30"/>
      <c r="C47" s="30"/>
      <c r="D47" s="87"/>
      <c r="E47" s="47" t="s">
        <v>67</v>
      </c>
      <c r="F47" s="29">
        <f>101287+65733</f>
        <v>167020</v>
      </c>
    </row>
    <row r="48" spans="1:6" ht="15.75" customHeight="1">
      <c r="A48" s="87"/>
      <c r="B48" s="30"/>
      <c r="C48" s="30"/>
      <c r="D48" s="87"/>
      <c r="E48" s="47" t="s">
        <v>68</v>
      </c>
      <c r="F48" s="29">
        <v>1650000</v>
      </c>
    </row>
    <row r="49" spans="1:6" ht="15.75" customHeight="1">
      <c r="A49" s="87"/>
      <c r="B49" s="30"/>
      <c r="C49" s="30"/>
      <c r="D49" s="87"/>
      <c r="E49" s="47" t="s">
        <v>27</v>
      </c>
      <c r="F49" s="29">
        <v>341500</v>
      </c>
    </row>
    <row r="50" spans="1:6" ht="15.75" customHeight="1">
      <c r="A50" s="87"/>
      <c r="B50" s="30"/>
      <c r="C50" s="30"/>
      <c r="D50" s="38"/>
      <c r="E50" s="47" t="s">
        <v>69</v>
      </c>
      <c r="F50" s="29">
        <f>77107.8+10028+23100+6000+2400+10200+2661.12+3056+13593.9+5630+7700+7700+2000+2000+800+800+3000+887.04+887.04+119+2648.68+62345.99+1140.97+300+2770+7700+7700+7700+7700+8000+3200+3600+887.04+999.42+999.42+999.42+12181.58+1088.17+7700+2000+800+999.42+19261.84+19843.9+7700+2000+800+5040+999.42</f>
        <v>378775.17</v>
      </c>
    </row>
    <row r="51" spans="1:6" ht="15.75" customHeight="1">
      <c r="A51" s="87"/>
      <c r="B51" s="30"/>
      <c r="C51" s="30"/>
      <c r="D51" s="41" t="s">
        <v>30</v>
      </c>
      <c r="E51" s="90">
        <f>SUM(F43:F50)</f>
        <v>5073619.17</v>
      </c>
      <c r="F51" s="93"/>
    </row>
    <row r="52" spans="1:6" ht="15.75" customHeight="1">
      <c r="A52" s="48"/>
      <c r="B52" s="39" t="s">
        <v>21</v>
      </c>
      <c r="C52" s="40">
        <f>SUM(C12:C51)</f>
        <v>15518949.23</v>
      </c>
      <c r="D52" s="49"/>
      <c r="E52" s="42" t="s">
        <v>21</v>
      </c>
      <c r="F52" s="40">
        <f>E51+E42+E35+E22+E20+E15</f>
        <v>8037000.17</v>
      </c>
    </row>
    <row r="53" spans="1:6" ht="15.75" customHeight="1">
      <c r="A53" s="48"/>
      <c r="B53" s="39" t="s">
        <v>70</v>
      </c>
      <c r="C53" s="40">
        <f>C52+C11</f>
        <v>54646569.2</v>
      </c>
      <c r="D53" s="49"/>
      <c r="E53" s="42" t="s">
        <v>70</v>
      </c>
      <c r="F53" s="40">
        <f>F52+F11</f>
        <v>21787006.75</v>
      </c>
    </row>
    <row r="54" spans="1:6" ht="14.25">
      <c r="A54" s="94" t="s">
        <v>71</v>
      </c>
      <c r="B54" s="94"/>
      <c r="C54" s="94"/>
      <c r="D54" s="94"/>
      <c r="E54" s="75"/>
      <c r="F54" s="94"/>
    </row>
    <row r="55" spans="1:6" ht="14.25">
      <c r="A55" s="50"/>
      <c r="B55" s="50"/>
      <c r="C55" s="50"/>
      <c r="D55" s="51"/>
      <c r="F55" s="50"/>
    </row>
  </sheetData>
  <mergeCells count="31">
    <mergeCell ref="B3:D3"/>
    <mergeCell ref="E3:F3"/>
    <mergeCell ref="B4:C4"/>
    <mergeCell ref="D4:F4"/>
    <mergeCell ref="D10:E10"/>
    <mergeCell ref="D11:E11"/>
    <mergeCell ref="E15:F15"/>
    <mergeCell ref="D5:E5"/>
    <mergeCell ref="D6:E6"/>
    <mergeCell ref="D7:E7"/>
    <mergeCell ref="D8:E8"/>
    <mergeCell ref="E51:F51"/>
    <mergeCell ref="A54:F54"/>
    <mergeCell ref="A4:A5"/>
    <mergeCell ref="A6:A11"/>
    <mergeCell ref="A12:A27"/>
    <mergeCell ref="A28:A51"/>
    <mergeCell ref="D12:D13"/>
    <mergeCell ref="D16:D19"/>
    <mergeCell ref="D23:D27"/>
    <mergeCell ref="D28:D31"/>
    <mergeCell ref="A1:F2"/>
    <mergeCell ref="D36:D41"/>
    <mergeCell ref="D43:D49"/>
    <mergeCell ref="E12:E13"/>
    <mergeCell ref="F12:F13"/>
    <mergeCell ref="E20:F20"/>
    <mergeCell ref="E22:F22"/>
    <mergeCell ref="E35:F35"/>
    <mergeCell ref="E42:F42"/>
    <mergeCell ref="D9:E9"/>
  </mergeCells>
  <printOptions/>
  <pageMargins left="0.275" right="0.19652777777777777" top="0.5118055555555555" bottom="0.5118055555555555" header="0.39305555555555555" footer="0.39305555555555555"/>
  <pageSetup horizontalDpi="600" verticalDpi="600" orientation="landscape" paperSize="9"/>
  <headerFooter alignWithMargins="0">
    <oddFooter>&amp;L&amp;"SimSun"&amp;9&amp;C&amp;"SimSun"&amp;9第8页&amp;R&amp;"SimSun"&amp;9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12.75390625" style="0" customWidth="1"/>
    <col min="2" max="2" width="32.75390625" style="0" customWidth="1"/>
    <col min="3" max="3" width="16.625" style="0" bestFit="1" customWidth="1"/>
    <col min="4" max="4" width="31.50390625" style="0" customWidth="1"/>
    <col min="5" max="5" width="16.625" style="0" bestFit="1" customWidth="1"/>
  </cols>
  <sheetData>
    <row r="1" spans="1:5" ht="34.5" customHeight="1">
      <c r="A1" s="83" t="s">
        <v>72</v>
      </c>
      <c r="B1" s="83"/>
      <c r="C1" s="83"/>
      <c r="D1" s="83"/>
      <c r="E1" s="83"/>
    </row>
    <row r="2" spans="1:5" ht="14.25">
      <c r="A2" s="2"/>
      <c r="B2" s="2"/>
      <c r="C2" s="2"/>
      <c r="D2" s="2"/>
      <c r="E2" s="2"/>
    </row>
    <row r="3" spans="1:5" ht="14.25">
      <c r="A3" s="97" t="s">
        <v>2</v>
      </c>
      <c r="B3" s="74" t="s">
        <v>3</v>
      </c>
      <c r="C3" s="74"/>
      <c r="D3" s="74" t="s">
        <v>4</v>
      </c>
      <c r="E3" s="95"/>
    </row>
    <row r="4" spans="1:5" ht="14.25">
      <c r="A4" s="98"/>
      <c r="B4" s="3" t="s">
        <v>5</v>
      </c>
      <c r="C4" s="3" t="s">
        <v>6</v>
      </c>
      <c r="D4" s="3" t="s">
        <v>7</v>
      </c>
      <c r="E4" s="4" t="s">
        <v>8</v>
      </c>
    </row>
    <row r="5" spans="1:5" ht="14.25">
      <c r="A5" s="99" t="s">
        <v>73</v>
      </c>
      <c r="B5" s="5" t="s">
        <v>10</v>
      </c>
      <c r="C5" s="6">
        <v>3516070.5</v>
      </c>
      <c r="D5" s="5" t="s">
        <v>11</v>
      </c>
      <c r="E5" s="7">
        <v>0</v>
      </c>
    </row>
    <row r="6" spans="1:5" ht="14.25">
      <c r="A6" s="100"/>
      <c r="B6" s="5" t="s">
        <v>13</v>
      </c>
      <c r="C6" s="6">
        <v>339436.4</v>
      </c>
      <c r="D6" s="5" t="s">
        <v>14</v>
      </c>
      <c r="E6" s="7">
        <v>145830</v>
      </c>
    </row>
    <row r="7" spans="1:5" ht="14.25">
      <c r="A7" s="100"/>
      <c r="B7" s="5" t="s">
        <v>15</v>
      </c>
      <c r="C7" s="6">
        <v>5832088.4</v>
      </c>
      <c r="D7" s="5" t="s">
        <v>16</v>
      </c>
      <c r="E7" s="7">
        <v>4107437.98</v>
      </c>
    </row>
    <row r="8" spans="1:5" ht="14.25">
      <c r="A8" s="100"/>
      <c r="B8" s="8" t="s">
        <v>17</v>
      </c>
      <c r="C8" s="6">
        <v>12599266.8</v>
      </c>
      <c r="D8" s="8" t="s">
        <v>18</v>
      </c>
      <c r="E8" s="7">
        <v>9700208.3</v>
      </c>
    </row>
    <row r="9" spans="1:5" ht="14.25">
      <c r="A9" s="101"/>
      <c r="B9" s="9" t="s">
        <v>21</v>
      </c>
      <c r="C9" s="10">
        <f>C5+C6+C7+C8</f>
        <v>22286862.1</v>
      </c>
      <c r="D9" s="9" t="s">
        <v>21</v>
      </c>
      <c r="E9" s="11">
        <f>E5+E6+E7+E8</f>
        <v>13953476.280000001</v>
      </c>
    </row>
    <row r="10" spans="1:5" ht="14.25">
      <c r="A10" s="100" t="s">
        <v>74</v>
      </c>
      <c r="B10" s="12" t="s">
        <v>75</v>
      </c>
      <c r="C10" s="13">
        <f>600000+180000+1650000+921100+17400+24320+20900+33600+11200+230000+30000+5078524.87+21780+470773.1+1200+278188+1500000+188000</f>
        <v>11256985.97</v>
      </c>
      <c r="D10" s="14" t="s">
        <v>76</v>
      </c>
      <c r="E10" s="15">
        <f>121589.5+270450+58000+21000+24900+450+1250+51594.4+23000+14904+504+39831+14400+1120+1549+12999+83000+20087+486+14700+48000+1100+10200+486+2400+10000+12600+486+1080+10000+33000+12600+396+396+540+240+580+290+103000+37848.42+150000+50000+2000+12300+1490+99000+259000+36440</f>
        <v>1671286.32</v>
      </c>
    </row>
    <row r="11" spans="1:5" ht="14.25">
      <c r="A11" s="100"/>
      <c r="B11" s="16" t="s">
        <v>34</v>
      </c>
      <c r="C11" s="6">
        <f>820347.9+500000</f>
        <v>1320347.9</v>
      </c>
      <c r="D11" s="17" t="s">
        <v>77</v>
      </c>
      <c r="E11" s="7">
        <f>100000+168000+154000+97000+54000+100000+186000+29000</f>
        <v>888000</v>
      </c>
    </row>
    <row r="12" spans="1:5" ht="14.25">
      <c r="A12" s="100"/>
      <c r="B12" s="16" t="s">
        <v>78</v>
      </c>
      <c r="C12" s="6">
        <f>200000+300000</f>
        <v>500000</v>
      </c>
      <c r="D12" s="17" t="s">
        <v>79</v>
      </c>
      <c r="E12" s="18">
        <f>1000+144276+23880+179400+40000</f>
        <v>388556</v>
      </c>
    </row>
    <row r="13" spans="1:5" ht="14.25">
      <c r="A13" s="100"/>
      <c r="B13" s="19" t="s">
        <v>80</v>
      </c>
      <c r="C13" s="6">
        <v>213500</v>
      </c>
      <c r="D13" s="20" t="s">
        <v>81</v>
      </c>
      <c r="E13" s="7">
        <f>164000+30000</f>
        <v>194000</v>
      </c>
    </row>
    <row r="14" spans="1:5" ht="14.25">
      <c r="A14" s="100"/>
      <c r="B14" s="16" t="s">
        <v>26</v>
      </c>
      <c r="C14" s="6">
        <f>497580+839000+66000</f>
        <v>1402580</v>
      </c>
      <c r="D14" s="21" t="s">
        <v>82</v>
      </c>
      <c r="E14" s="7">
        <f>575000+575000+1000000</f>
        <v>2150000</v>
      </c>
    </row>
    <row r="15" spans="1:5" ht="14.25">
      <c r="A15" s="100"/>
      <c r="B15" s="16" t="s">
        <v>83</v>
      </c>
      <c r="C15" s="6">
        <v>15714</v>
      </c>
      <c r="D15" s="17" t="s">
        <v>64</v>
      </c>
      <c r="E15" s="7">
        <f>705100-500000+639300+822380</f>
        <v>1666780</v>
      </c>
    </row>
    <row r="16" spans="1:5" ht="14.25">
      <c r="A16" s="100"/>
      <c r="B16" s="22"/>
      <c r="C16" s="6"/>
      <c r="D16" s="20" t="s">
        <v>84</v>
      </c>
      <c r="E16" s="7">
        <v>400000</v>
      </c>
    </row>
    <row r="17" spans="1:5" ht="14.25">
      <c r="A17" s="100"/>
      <c r="B17" s="19"/>
      <c r="C17" s="6"/>
      <c r="D17" s="20" t="s">
        <v>85</v>
      </c>
      <c r="E17" s="7">
        <f>300000+500000</f>
        <v>800000</v>
      </c>
    </row>
    <row r="18" spans="1:5" ht="14.25">
      <c r="A18" s="100"/>
      <c r="B18" s="23"/>
      <c r="C18" s="23"/>
      <c r="D18" s="20" t="s">
        <v>66</v>
      </c>
      <c r="E18" s="18">
        <f>396000</f>
        <v>396000</v>
      </c>
    </row>
    <row r="19" spans="1:5" ht="14.25">
      <c r="A19" s="100"/>
      <c r="B19" s="23"/>
      <c r="C19" s="23"/>
      <c r="D19" s="24" t="s">
        <v>69</v>
      </c>
      <c r="E19" s="7">
        <f>32359.64+51396+31245+74360+4000+2400+3600+6407.68+1410.66+308.9+7100+2000+800+859+113+10847.17+7100+2000+800+859</f>
        <v>239966.05000000002</v>
      </c>
    </row>
    <row r="20" spans="1:5" ht="14.25">
      <c r="A20" s="101"/>
      <c r="B20" s="25" t="s">
        <v>21</v>
      </c>
      <c r="C20" s="26">
        <f>SUM(C10:C17)</f>
        <v>14709127.870000001</v>
      </c>
      <c r="D20" s="25" t="s">
        <v>21</v>
      </c>
      <c r="E20" s="27">
        <f>SUM(E10:E19)</f>
        <v>8794588.370000001</v>
      </c>
    </row>
    <row r="21" spans="1:5" ht="14.25">
      <c r="A21" s="102" t="s">
        <v>86</v>
      </c>
      <c r="B21" s="28" t="s">
        <v>23</v>
      </c>
      <c r="C21" s="29">
        <f>7625.5+9940+2400+400+107000+380+29847.4+12022+29313+38458.1+15800+2678+50000+230000+30500+30000-3787</f>
        <v>592577</v>
      </c>
      <c r="D21" s="17" t="s">
        <v>76</v>
      </c>
      <c r="E21" s="13">
        <f>162500+24000+2000+47000+2000+200000+12000+12000+450+1910+34500+29000+10000+500+11700+29931+432+864+11000+432+17160+99800+31500+1000+18160+432+46000+4000+17160+932+49000+160478</f>
        <v>1037841</v>
      </c>
    </row>
    <row r="22" spans="1:5" ht="14.25">
      <c r="A22" s="103"/>
      <c r="B22" s="30" t="s">
        <v>26</v>
      </c>
      <c r="C22" s="29">
        <f>16000+345650+60000+80000+151000+541860+50000+356000</f>
        <v>1600510</v>
      </c>
      <c r="D22" s="17" t="s">
        <v>77</v>
      </c>
      <c r="E22" s="13">
        <f>123000+40000+252000+19000+16000+198000+82000+136000+16000+10000+71000+190000</f>
        <v>1153000</v>
      </c>
    </row>
    <row r="23" spans="1:5" ht="14.25">
      <c r="A23" s="103"/>
      <c r="B23" s="30" t="s">
        <v>27</v>
      </c>
      <c r="C23" s="29">
        <f>371500+10000</f>
        <v>381500</v>
      </c>
      <c r="D23" s="17" t="s">
        <v>79</v>
      </c>
      <c r="E23" s="13">
        <v>252600</v>
      </c>
    </row>
    <row r="24" spans="1:5" ht="14.25">
      <c r="A24" s="103"/>
      <c r="B24" s="30" t="s">
        <v>29</v>
      </c>
      <c r="C24" s="29">
        <f>163233+3787</f>
        <v>167020</v>
      </c>
      <c r="D24" s="20" t="s">
        <v>81</v>
      </c>
      <c r="E24" s="13">
        <f>118900+45000+60000+30000+30000+10000+40000+154500+50000</f>
        <v>538400</v>
      </c>
    </row>
    <row r="25" spans="1:5" ht="14.25">
      <c r="A25" s="103"/>
      <c r="B25" s="30" t="s">
        <v>31</v>
      </c>
      <c r="C25" s="29">
        <v>10000000</v>
      </c>
      <c r="D25" s="21" t="s">
        <v>82</v>
      </c>
      <c r="E25" s="13">
        <f>25000+17500+17500+300000+25000+100000+665000</f>
        <v>1150000</v>
      </c>
    </row>
    <row r="26" spans="1:5" ht="14.25">
      <c r="A26" s="103"/>
      <c r="B26" s="30" t="s">
        <v>34</v>
      </c>
      <c r="C26" s="29">
        <v>1008258.9</v>
      </c>
      <c r="D26" s="17" t="s">
        <v>64</v>
      </c>
      <c r="E26" s="13">
        <f>427650-47000+83000+504860</f>
        <v>968510</v>
      </c>
    </row>
    <row r="27" spans="1:5" ht="14.25">
      <c r="A27" s="103"/>
      <c r="B27" s="28" t="s">
        <v>36</v>
      </c>
      <c r="C27" s="29">
        <v>1150000</v>
      </c>
      <c r="D27" s="16" t="s">
        <v>83</v>
      </c>
      <c r="E27" s="13">
        <f>15000+43200+57514</f>
        <v>115714</v>
      </c>
    </row>
    <row r="28" spans="1:5" ht="14.25">
      <c r="A28" s="103"/>
      <c r="B28" s="30" t="s">
        <v>38</v>
      </c>
      <c r="C28" s="29">
        <f>570000+49083.33</f>
        <v>619083.33</v>
      </c>
      <c r="D28" s="20" t="s">
        <v>66</v>
      </c>
      <c r="E28" s="13">
        <f>302100</f>
        <v>302100</v>
      </c>
    </row>
    <row r="29" spans="1:5" ht="14.25">
      <c r="A29" s="103"/>
      <c r="B29" s="16"/>
      <c r="C29" s="13"/>
      <c r="D29" s="20" t="s">
        <v>67</v>
      </c>
      <c r="E29" s="13">
        <f>101287+65733</f>
        <v>167020</v>
      </c>
    </row>
    <row r="30" spans="1:5" ht="14.25">
      <c r="A30" s="103"/>
      <c r="B30" s="16"/>
      <c r="C30" s="13"/>
      <c r="D30" s="24" t="s">
        <v>69</v>
      </c>
      <c r="E30" s="13">
        <f>77107.8+10028+23100+6000+2400+10200+2661.12+3056+13593.9+5630+7700+7700+2000+2000+800+800+3000+887.04+887.04+119+2648.68+62345.99+1140.97+300+2770+7700+7700+7700+7700+8000+3200+3600+887.04+999.42+999.42+999.42+12181.58+1088.17+7700+2000+800+999.42+19261.84+19843.9+7700+2000+800+5040+999.42</f>
        <v>378775.17</v>
      </c>
    </row>
    <row r="31" spans="1:5" ht="14.25">
      <c r="A31" s="103"/>
      <c r="B31" s="31"/>
      <c r="C31" s="6"/>
      <c r="D31" s="32" t="s">
        <v>68</v>
      </c>
      <c r="E31" s="6">
        <v>1650000</v>
      </c>
    </row>
    <row r="32" spans="1:5" ht="14.25">
      <c r="A32" s="103"/>
      <c r="B32" s="31"/>
      <c r="C32" s="6"/>
      <c r="D32" s="16" t="s">
        <v>27</v>
      </c>
      <c r="E32" s="6">
        <v>341500</v>
      </c>
    </row>
    <row r="33" spans="1:5" ht="14.25">
      <c r="A33" s="103"/>
      <c r="B33" s="31"/>
      <c r="C33" s="6"/>
      <c r="D33" s="32" t="s">
        <v>87</v>
      </c>
      <c r="E33" s="6">
        <v>100000</v>
      </c>
    </row>
    <row r="34" spans="1:5" ht="14.25">
      <c r="A34" s="104"/>
      <c r="B34" s="25" t="s">
        <v>21</v>
      </c>
      <c r="C34" s="26">
        <f>SUM(C21:C30)</f>
        <v>15518949.23</v>
      </c>
      <c r="D34" s="25" t="s">
        <v>21</v>
      </c>
      <c r="E34" s="26">
        <f>SUM(E21:E33)</f>
        <v>8155460.17</v>
      </c>
    </row>
    <row r="35" spans="1:5" ht="14.25">
      <c r="A35" s="33" t="s">
        <v>12</v>
      </c>
      <c r="B35" s="9" t="s">
        <v>70</v>
      </c>
      <c r="C35" s="10">
        <f>C20+C9+C34</f>
        <v>52514939.2</v>
      </c>
      <c r="D35" s="9" t="s">
        <v>70</v>
      </c>
      <c r="E35" s="11">
        <f>E20+E9+E34</f>
        <v>30903524.82</v>
      </c>
    </row>
    <row r="36" spans="1:5" ht="14.25">
      <c r="A36" s="96" t="s">
        <v>88</v>
      </c>
      <c r="B36" s="96"/>
      <c r="C36" s="96"/>
      <c r="D36" s="96"/>
      <c r="E36" s="96"/>
    </row>
  </sheetData>
  <mergeCells count="8">
    <mergeCell ref="A1:E1"/>
    <mergeCell ref="B3:C3"/>
    <mergeCell ref="D3:E3"/>
    <mergeCell ref="A36:E36"/>
    <mergeCell ref="A3:A4"/>
    <mergeCell ref="A5:A9"/>
    <mergeCell ref="A10:A20"/>
    <mergeCell ref="A21:A3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40">
      <selection activeCell="E57" sqref="E57"/>
    </sheetView>
  </sheetViews>
  <sheetFormatPr defaultColWidth="9.00390625" defaultRowHeight="14.25"/>
  <cols>
    <col min="1" max="1" width="5.00390625" style="0" customWidth="1"/>
    <col min="2" max="2" width="34.625" style="0" customWidth="1"/>
    <col min="3" max="3" width="15.75390625" style="0" customWidth="1"/>
    <col min="4" max="4" width="9.00390625" style="57" customWidth="1"/>
    <col min="5" max="5" width="39.50390625" style="57" customWidth="1"/>
    <col min="6" max="6" width="16.00390625" style="0" customWidth="1"/>
    <col min="8" max="8" width="16.75390625" style="0" customWidth="1"/>
    <col min="9" max="9" width="13.375" style="0" customWidth="1"/>
  </cols>
  <sheetData>
    <row r="1" spans="1:6" ht="14.25">
      <c r="A1" s="122" t="s">
        <v>123</v>
      </c>
      <c r="B1" s="122"/>
      <c r="C1" s="122"/>
      <c r="D1" s="122"/>
      <c r="E1" s="123"/>
      <c r="F1" s="122"/>
    </row>
    <row r="2" spans="1:6" ht="6.75" customHeight="1">
      <c r="A2" s="124"/>
      <c r="B2" s="124"/>
      <c r="C2" s="124"/>
      <c r="D2" s="124"/>
      <c r="E2" s="125"/>
      <c r="F2" s="124"/>
    </row>
    <row r="3" spans="1:6" ht="17.25" customHeight="1">
      <c r="A3" s="1"/>
      <c r="B3" s="80"/>
      <c r="C3" s="80"/>
      <c r="D3" s="80"/>
      <c r="E3" s="126" t="s">
        <v>1</v>
      </c>
      <c r="F3" s="127"/>
    </row>
    <row r="4" spans="1:6" s="57" customFormat="1" ht="12" customHeight="1">
      <c r="A4" s="128" t="s">
        <v>2</v>
      </c>
      <c r="B4" s="128" t="s">
        <v>3</v>
      </c>
      <c r="C4" s="128"/>
      <c r="D4" s="113" t="s">
        <v>4</v>
      </c>
      <c r="E4" s="79"/>
      <c r="F4" s="128"/>
    </row>
    <row r="5" spans="1:6" s="57" customFormat="1" ht="11.25" customHeight="1">
      <c r="A5" s="128"/>
      <c r="B5" s="60" t="s">
        <v>5</v>
      </c>
      <c r="C5" s="60" t="s">
        <v>6</v>
      </c>
      <c r="D5" s="113" t="s">
        <v>7</v>
      </c>
      <c r="E5" s="79"/>
      <c r="F5" s="60" t="s">
        <v>8</v>
      </c>
    </row>
    <row r="6" spans="1:6" ht="12" customHeight="1">
      <c r="A6" s="113" t="s">
        <v>131</v>
      </c>
      <c r="B6" s="52" t="s">
        <v>10</v>
      </c>
      <c r="C6" s="29">
        <v>3516070.5</v>
      </c>
      <c r="D6" s="113" t="s">
        <v>11</v>
      </c>
      <c r="E6" s="92"/>
      <c r="F6" s="29">
        <v>0</v>
      </c>
    </row>
    <row r="7" spans="1:6" ht="12.75" customHeight="1">
      <c r="A7" s="113"/>
      <c r="B7" s="52" t="s">
        <v>13</v>
      </c>
      <c r="C7" s="29">
        <v>339436.4</v>
      </c>
      <c r="D7" s="113" t="s">
        <v>14</v>
      </c>
      <c r="E7" s="92"/>
      <c r="F7" s="29">
        <v>145830</v>
      </c>
    </row>
    <row r="8" spans="1:6" ht="12" customHeight="1">
      <c r="A8" s="113"/>
      <c r="B8" s="52" t="s">
        <v>15</v>
      </c>
      <c r="C8" s="29">
        <v>6463718.4</v>
      </c>
      <c r="D8" s="113" t="s">
        <v>16</v>
      </c>
      <c r="E8" s="92"/>
      <c r="F8" s="29">
        <v>3903067.98</v>
      </c>
    </row>
    <row r="9" spans="1:6" ht="12" customHeight="1">
      <c r="A9" s="113"/>
      <c r="B9" s="52" t="s">
        <v>17</v>
      </c>
      <c r="C9" s="29">
        <v>14099266.8</v>
      </c>
      <c r="D9" s="113" t="s">
        <v>18</v>
      </c>
      <c r="E9" s="92"/>
      <c r="F9" s="29">
        <v>9701108.6</v>
      </c>
    </row>
    <row r="10" spans="1:6" ht="10.5" customHeight="1">
      <c r="A10" s="113"/>
      <c r="B10" s="52" t="s">
        <v>19</v>
      </c>
      <c r="C10" s="29">
        <v>14709127.870000001</v>
      </c>
      <c r="D10" s="113" t="s">
        <v>20</v>
      </c>
      <c r="E10" s="92"/>
      <c r="F10" s="29">
        <v>8794588.370000001</v>
      </c>
    </row>
    <row r="11" spans="1:6" ht="12" customHeight="1">
      <c r="A11" s="113"/>
      <c r="B11" s="52" t="s">
        <v>124</v>
      </c>
      <c r="C11" s="29">
        <v>15518949.23</v>
      </c>
      <c r="D11" s="113" t="s">
        <v>99</v>
      </c>
      <c r="E11" s="92"/>
      <c r="F11" s="29">
        <v>8037001.37</v>
      </c>
    </row>
    <row r="12" spans="1:6" ht="10.5" customHeight="1">
      <c r="A12" s="113"/>
      <c r="B12" s="62" t="s">
        <v>21</v>
      </c>
      <c r="C12" s="40">
        <f>SUM(C6:C11)</f>
        <v>54646569.2</v>
      </c>
      <c r="D12" s="121" t="s">
        <v>21</v>
      </c>
      <c r="E12" s="78"/>
      <c r="F12" s="40">
        <f>SUM(F6:F11)</f>
        <v>30581596.320000004</v>
      </c>
    </row>
    <row r="13" spans="1:6" ht="12" customHeight="1">
      <c r="A13" s="113" t="s">
        <v>109</v>
      </c>
      <c r="B13" s="53" t="s">
        <v>125</v>
      </c>
      <c r="C13" s="64">
        <f>4598546-3907.7</f>
        <v>4594638.3</v>
      </c>
      <c r="D13" s="107" t="s">
        <v>24</v>
      </c>
      <c r="E13" s="118" t="s">
        <v>100</v>
      </c>
      <c r="F13" s="114">
        <v>1047600</v>
      </c>
    </row>
    <row r="14" spans="1:6" ht="11.25" customHeight="1">
      <c r="A14" s="113"/>
      <c r="B14" s="55" t="s">
        <v>118</v>
      </c>
      <c r="C14" s="64">
        <v>17264.2</v>
      </c>
      <c r="D14" s="108"/>
      <c r="E14" s="118"/>
      <c r="F14" s="114"/>
    </row>
    <row r="15" spans="1:6" ht="12" customHeight="1">
      <c r="A15" s="113"/>
      <c r="B15" s="53" t="s">
        <v>122</v>
      </c>
      <c r="C15" s="64">
        <v>780000</v>
      </c>
      <c r="D15" s="108"/>
      <c r="E15" s="118"/>
      <c r="F15" s="114"/>
    </row>
    <row r="16" spans="1:6" ht="11.25" customHeight="1">
      <c r="A16" s="113"/>
      <c r="B16" s="66" t="s">
        <v>126</v>
      </c>
      <c r="C16" s="64">
        <v>581175</v>
      </c>
      <c r="D16" s="132"/>
      <c r="E16" s="54" t="s">
        <v>101</v>
      </c>
      <c r="F16" s="65">
        <v>40000</v>
      </c>
    </row>
    <row r="17" spans="1:6" ht="13.5" customHeight="1">
      <c r="A17" s="113"/>
      <c r="B17" s="53" t="s">
        <v>119</v>
      </c>
      <c r="C17" s="64">
        <v>2357803.4</v>
      </c>
      <c r="D17" s="67" t="s">
        <v>30</v>
      </c>
      <c r="E17" s="115">
        <f>SUM(F13:F16)</f>
        <v>1087600</v>
      </c>
      <c r="F17" s="116"/>
    </row>
    <row r="18" spans="1:6" ht="12" customHeight="1">
      <c r="A18" s="113"/>
      <c r="B18" s="54" t="s">
        <v>127</v>
      </c>
      <c r="C18" s="64">
        <v>768400</v>
      </c>
      <c r="D18" s="107" t="s">
        <v>32</v>
      </c>
      <c r="E18" s="59" t="s">
        <v>35</v>
      </c>
      <c r="F18" s="64">
        <v>3500</v>
      </c>
    </row>
    <row r="19" spans="1:6" ht="12" customHeight="1">
      <c r="A19" s="113"/>
      <c r="B19" s="53" t="s">
        <v>128</v>
      </c>
      <c r="C19" s="64">
        <v>663638.92</v>
      </c>
      <c r="D19" s="108"/>
      <c r="E19" s="59" t="s">
        <v>111</v>
      </c>
      <c r="F19" s="64">
        <v>90000</v>
      </c>
    </row>
    <row r="20" spans="1:6" ht="10.5" customHeight="1">
      <c r="A20" s="113"/>
      <c r="B20" s="55"/>
      <c r="C20" s="64"/>
      <c r="D20" s="108"/>
      <c r="E20" s="55" t="s">
        <v>98</v>
      </c>
      <c r="F20" s="64">
        <v>323150</v>
      </c>
    </row>
    <row r="21" spans="1:6" ht="10.5" customHeight="1">
      <c r="A21" s="113"/>
      <c r="B21" s="53"/>
      <c r="C21" s="64"/>
      <c r="D21" s="108"/>
      <c r="E21" s="54" t="s">
        <v>132</v>
      </c>
      <c r="F21" s="64">
        <v>49200</v>
      </c>
    </row>
    <row r="22" spans="1:6" ht="9.75" customHeight="1">
      <c r="A22" s="113"/>
      <c r="B22" s="54"/>
      <c r="C22" s="64"/>
      <c r="D22" s="108"/>
      <c r="E22" s="68" t="s">
        <v>94</v>
      </c>
      <c r="F22" s="29">
        <v>26640</v>
      </c>
    </row>
    <row r="23" spans="1:6" ht="10.5" customHeight="1">
      <c r="A23" s="113"/>
      <c r="B23" s="53"/>
      <c r="C23" s="64"/>
      <c r="D23" s="109"/>
      <c r="E23" s="54" t="s">
        <v>133</v>
      </c>
      <c r="F23" s="64">
        <v>90000</v>
      </c>
    </row>
    <row r="24" spans="1:6" ht="10.5" customHeight="1">
      <c r="A24" s="113"/>
      <c r="B24" s="53"/>
      <c r="C24" s="64"/>
      <c r="D24" s="109"/>
      <c r="E24" s="54" t="s">
        <v>134</v>
      </c>
      <c r="F24" s="64">
        <v>86500</v>
      </c>
    </row>
    <row r="25" spans="1:6" ht="10.5" customHeight="1">
      <c r="A25" s="113"/>
      <c r="B25" s="53"/>
      <c r="C25" s="64"/>
      <c r="D25" s="109"/>
      <c r="E25" s="54" t="s">
        <v>135</v>
      </c>
      <c r="F25" s="64">
        <v>24000</v>
      </c>
    </row>
    <row r="26" spans="1:6" ht="10.5" customHeight="1">
      <c r="A26" s="113"/>
      <c r="B26" s="55"/>
      <c r="C26" s="64"/>
      <c r="D26" s="67" t="s">
        <v>30</v>
      </c>
      <c r="E26" s="115">
        <v>692990</v>
      </c>
      <c r="F26" s="116"/>
    </row>
    <row r="27" spans="1:6" ht="13.5" customHeight="1">
      <c r="A27" s="113"/>
      <c r="B27" s="55"/>
      <c r="C27" s="64"/>
      <c r="D27" s="61" t="s">
        <v>40</v>
      </c>
      <c r="E27" s="59" t="s">
        <v>110</v>
      </c>
      <c r="F27" s="30">
        <v>46000</v>
      </c>
    </row>
    <row r="28" spans="1:6" ht="10.5" customHeight="1">
      <c r="A28" s="113"/>
      <c r="B28" s="54"/>
      <c r="C28" s="64"/>
      <c r="D28" s="63" t="s">
        <v>30</v>
      </c>
      <c r="E28" s="115">
        <f>SUM(F27:F27)</f>
        <v>46000</v>
      </c>
      <c r="F28" s="115"/>
    </row>
    <row r="29" spans="1:6" ht="12.75" customHeight="1">
      <c r="A29" s="113"/>
      <c r="B29" s="53"/>
      <c r="C29" s="64"/>
      <c r="D29" s="113" t="s">
        <v>42</v>
      </c>
      <c r="E29" s="59" t="s">
        <v>114</v>
      </c>
      <c r="F29" s="69">
        <v>41500</v>
      </c>
    </row>
    <row r="30" spans="1:6" ht="12.75" customHeight="1">
      <c r="A30" s="113"/>
      <c r="B30" s="55"/>
      <c r="C30" s="64"/>
      <c r="D30" s="113"/>
      <c r="E30" s="59" t="s">
        <v>137</v>
      </c>
      <c r="F30" s="69">
        <v>357700</v>
      </c>
    </row>
    <row r="31" spans="1:6" ht="12" customHeight="1">
      <c r="A31" s="113"/>
      <c r="B31" s="55"/>
      <c r="C31" s="64"/>
      <c r="D31" s="113"/>
      <c r="E31" s="59" t="s">
        <v>102</v>
      </c>
      <c r="F31" s="69">
        <v>85200</v>
      </c>
    </row>
    <row r="32" spans="1:6" ht="15" customHeight="1">
      <c r="A32" s="113"/>
      <c r="B32" s="55"/>
      <c r="C32" s="64"/>
      <c r="D32" s="113"/>
      <c r="E32" s="59" t="s">
        <v>89</v>
      </c>
      <c r="F32" s="69">
        <v>25000</v>
      </c>
    </row>
    <row r="33" spans="1:6" ht="12" customHeight="1">
      <c r="A33" s="113"/>
      <c r="B33" s="55"/>
      <c r="C33" s="64"/>
      <c r="D33" s="113"/>
      <c r="E33" s="59" t="s">
        <v>90</v>
      </c>
      <c r="F33" s="69">
        <v>10000</v>
      </c>
    </row>
    <row r="34" spans="1:6" ht="10.5" customHeight="1">
      <c r="A34" s="113"/>
      <c r="B34" s="53"/>
      <c r="C34" s="64"/>
      <c r="D34" s="113"/>
      <c r="E34" s="59" t="s">
        <v>147</v>
      </c>
      <c r="F34" s="69">
        <v>181176</v>
      </c>
    </row>
    <row r="35" spans="1:6" ht="13.5" customHeight="1">
      <c r="A35" s="113"/>
      <c r="B35" s="53"/>
      <c r="C35" s="64"/>
      <c r="D35" s="113"/>
      <c r="E35" s="59" t="s">
        <v>103</v>
      </c>
      <c r="F35" s="69">
        <v>44000</v>
      </c>
    </row>
    <row r="36" spans="1:6" ht="12" customHeight="1">
      <c r="A36" s="113"/>
      <c r="B36" s="55"/>
      <c r="C36" s="64"/>
      <c r="D36" s="113"/>
      <c r="E36" s="59" t="s">
        <v>149</v>
      </c>
      <c r="F36" s="69">
        <v>100000</v>
      </c>
    </row>
    <row r="37" spans="1:6" ht="12.75" customHeight="1">
      <c r="A37" s="113"/>
      <c r="B37" s="54"/>
      <c r="C37" s="64"/>
      <c r="D37" s="113"/>
      <c r="E37" s="59" t="s">
        <v>138</v>
      </c>
      <c r="F37" s="69">
        <v>18480</v>
      </c>
    </row>
    <row r="38" spans="1:6" ht="11.25" customHeight="1">
      <c r="A38" s="113" t="s">
        <v>130</v>
      </c>
      <c r="B38" s="54"/>
      <c r="C38" s="64"/>
      <c r="D38" s="112" t="s">
        <v>129</v>
      </c>
      <c r="E38" s="59" t="s">
        <v>104</v>
      </c>
      <c r="F38" s="69">
        <v>4338</v>
      </c>
    </row>
    <row r="39" spans="1:6" ht="12" customHeight="1">
      <c r="A39" s="113"/>
      <c r="B39" s="54"/>
      <c r="C39" s="64"/>
      <c r="D39" s="112"/>
      <c r="E39" s="59" t="s">
        <v>96</v>
      </c>
      <c r="F39" s="69">
        <v>188416</v>
      </c>
    </row>
    <row r="40" spans="1:6" ht="12" customHeight="1">
      <c r="A40" s="113"/>
      <c r="B40" s="54"/>
      <c r="C40" s="64"/>
      <c r="D40" s="112"/>
      <c r="E40" s="54" t="s">
        <v>139</v>
      </c>
      <c r="F40" s="29">
        <v>31606.8</v>
      </c>
    </row>
    <row r="41" spans="1:6" ht="12" customHeight="1">
      <c r="A41" s="113"/>
      <c r="B41" s="54"/>
      <c r="C41" s="64"/>
      <c r="D41" s="112"/>
      <c r="E41" s="54" t="s">
        <v>120</v>
      </c>
      <c r="F41" s="29">
        <v>4111</v>
      </c>
    </row>
    <row r="42" spans="1:6" ht="12" customHeight="1">
      <c r="A42" s="113"/>
      <c r="B42" s="54"/>
      <c r="C42" s="64"/>
      <c r="D42" s="112"/>
      <c r="E42" s="54" t="s">
        <v>140</v>
      </c>
      <c r="F42" s="29">
        <v>3000</v>
      </c>
    </row>
    <row r="43" spans="1:6" ht="11.25" customHeight="1">
      <c r="A43" s="113"/>
      <c r="B43" s="54"/>
      <c r="C43" s="64"/>
      <c r="D43" s="112"/>
      <c r="E43" s="59" t="s">
        <v>95</v>
      </c>
      <c r="F43" s="69">
        <v>4820</v>
      </c>
    </row>
    <row r="44" spans="1:6" ht="11.25" customHeight="1">
      <c r="A44" s="113"/>
      <c r="B44" s="55"/>
      <c r="C44" s="64"/>
      <c r="D44" s="63" t="s">
        <v>30</v>
      </c>
      <c r="E44" s="115">
        <f>SUM(F29:F43)</f>
        <v>1099347.8</v>
      </c>
      <c r="F44" s="115"/>
    </row>
    <row r="45" spans="1:6" ht="10.5" customHeight="1">
      <c r="A45" s="113"/>
      <c r="B45" s="55"/>
      <c r="C45" s="64"/>
      <c r="D45" s="113" t="s">
        <v>55</v>
      </c>
      <c r="E45" s="59" t="s">
        <v>97</v>
      </c>
      <c r="F45" s="65">
        <v>84000</v>
      </c>
    </row>
    <row r="46" spans="1:6" ht="12" customHeight="1">
      <c r="A46" s="113"/>
      <c r="B46" s="55"/>
      <c r="C46" s="64"/>
      <c r="D46" s="113"/>
      <c r="E46" s="54" t="s">
        <v>91</v>
      </c>
      <c r="F46" s="65">
        <v>276900</v>
      </c>
    </row>
    <row r="47" spans="1:6" ht="10.5" customHeight="1">
      <c r="A47" s="113"/>
      <c r="B47" s="53"/>
      <c r="C47" s="64"/>
      <c r="D47" s="113"/>
      <c r="E47" s="54" t="s">
        <v>92</v>
      </c>
      <c r="F47" s="65">
        <v>17200</v>
      </c>
    </row>
    <row r="48" spans="1:6" ht="11.25" customHeight="1">
      <c r="A48" s="113"/>
      <c r="B48" s="53"/>
      <c r="C48" s="64"/>
      <c r="D48" s="113"/>
      <c r="E48" s="59" t="s">
        <v>105</v>
      </c>
      <c r="F48" s="65">
        <v>5000</v>
      </c>
    </row>
    <row r="49" spans="1:6" ht="11.25" customHeight="1">
      <c r="A49" s="113"/>
      <c r="B49" s="54"/>
      <c r="C49" s="64"/>
      <c r="D49" s="113"/>
      <c r="E49" s="59" t="s">
        <v>106</v>
      </c>
      <c r="F49" s="65">
        <v>8000</v>
      </c>
    </row>
    <row r="50" spans="1:6" ht="11.25" customHeight="1">
      <c r="A50" s="113"/>
      <c r="B50" s="54"/>
      <c r="C50" s="64"/>
      <c r="D50" s="113"/>
      <c r="E50" s="59" t="s">
        <v>107</v>
      </c>
      <c r="F50" s="65">
        <v>88000</v>
      </c>
    </row>
    <row r="51" spans="1:6" ht="11.25" customHeight="1">
      <c r="A51" s="113"/>
      <c r="B51" s="55"/>
      <c r="C51" s="64"/>
      <c r="D51" s="63" t="s">
        <v>30</v>
      </c>
      <c r="E51" s="115">
        <f>SUM(F45:F50)</f>
        <v>479100</v>
      </c>
      <c r="F51" s="116"/>
    </row>
    <row r="52" spans="1:6" ht="12.75" customHeight="1">
      <c r="A52" s="113"/>
      <c r="B52" s="55"/>
      <c r="C52" s="64"/>
      <c r="D52" s="119" t="s">
        <v>136</v>
      </c>
      <c r="E52" s="70" t="s">
        <v>115</v>
      </c>
      <c r="F52" s="65">
        <v>100000</v>
      </c>
    </row>
    <row r="53" spans="1:6" ht="24.75" customHeight="1">
      <c r="A53" s="113"/>
      <c r="B53" s="55"/>
      <c r="C53" s="64"/>
      <c r="D53" s="129"/>
      <c r="E53" s="70" t="s">
        <v>116</v>
      </c>
      <c r="F53" s="65">
        <v>4000</v>
      </c>
    </row>
    <row r="54" spans="1:6" ht="13.5" customHeight="1">
      <c r="A54" s="113"/>
      <c r="B54" s="55"/>
      <c r="C54" s="64"/>
      <c r="D54" s="71" t="s">
        <v>117</v>
      </c>
      <c r="E54" s="130">
        <v>104000</v>
      </c>
      <c r="F54" s="131"/>
    </row>
    <row r="55" spans="1:6" ht="11.25" customHeight="1">
      <c r="A55" s="113"/>
      <c r="B55" s="55"/>
      <c r="C55" s="64"/>
      <c r="D55" s="119" t="s">
        <v>62</v>
      </c>
      <c r="E55" s="54" t="s">
        <v>63</v>
      </c>
      <c r="F55" s="29">
        <v>1194140</v>
      </c>
    </row>
    <row r="56" spans="1:6" ht="11.25" customHeight="1">
      <c r="A56" s="113"/>
      <c r="B56" s="55"/>
      <c r="C56" s="64"/>
      <c r="D56" s="120"/>
      <c r="E56" s="55" t="s">
        <v>141</v>
      </c>
      <c r="F56" s="29">
        <v>768400</v>
      </c>
    </row>
    <row r="57" spans="1:6" ht="11.25" customHeight="1">
      <c r="A57" s="113"/>
      <c r="B57" s="55"/>
      <c r="C57" s="64"/>
      <c r="D57" s="120"/>
      <c r="E57" s="72" t="s">
        <v>150</v>
      </c>
      <c r="F57" s="29">
        <v>56480</v>
      </c>
    </row>
    <row r="58" spans="1:6" ht="10.5" customHeight="1">
      <c r="A58" s="113"/>
      <c r="B58" s="55"/>
      <c r="C58" s="64"/>
      <c r="D58" s="120"/>
      <c r="E58" s="55" t="s">
        <v>93</v>
      </c>
      <c r="F58" s="29">
        <v>174684</v>
      </c>
    </row>
    <row r="59" spans="1:6" ht="12.75" customHeight="1">
      <c r="A59" s="113"/>
      <c r="B59" s="55"/>
      <c r="C59" s="64"/>
      <c r="D59" s="120"/>
      <c r="E59" s="59" t="s">
        <v>142</v>
      </c>
      <c r="F59" s="29">
        <v>200000</v>
      </c>
    </row>
    <row r="60" spans="1:6" ht="13.5" customHeight="1">
      <c r="A60" s="113"/>
      <c r="B60" s="52"/>
      <c r="C60" s="30"/>
      <c r="D60" s="120"/>
      <c r="E60" s="54" t="s">
        <v>108</v>
      </c>
      <c r="F60" s="29">
        <v>17264.2</v>
      </c>
    </row>
    <row r="61" spans="1:6" ht="12.75" customHeight="1">
      <c r="A61" s="113"/>
      <c r="B61" s="52"/>
      <c r="C61" s="30"/>
      <c r="D61" s="120"/>
      <c r="E61" s="54" t="s">
        <v>113</v>
      </c>
      <c r="F61" s="29">
        <v>13380</v>
      </c>
    </row>
    <row r="62" spans="1:6" ht="10.5" customHeight="1">
      <c r="A62" s="113"/>
      <c r="B62" s="52"/>
      <c r="C62" s="30"/>
      <c r="D62" s="109"/>
      <c r="E62" s="55" t="s">
        <v>112</v>
      </c>
      <c r="F62" s="29">
        <v>20000</v>
      </c>
    </row>
    <row r="63" spans="1:6" ht="15.75" customHeight="1">
      <c r="A63" s="113"/>
      <c r="B63" s="52"/>
      <c r="C63" s="30"/>
      <c r="D63" s="109"/>
      <c r="E63" s="59" t="s">
        <v>143</v>
      </c>
      <c r="F63" s="29">
        <v>182328.92</v>
      </c>
    </row>
    <row r="64" spans="1:6" ht="12" customHeight="1">
      <c r="A64" s="113"/>
      <c r="B64" s="52"/>
      <c r="C64" s="30"/>
      <c r="D64" s="109"/>
      <c r="E64" s="59" t="s">
        <v>144</v>
      </c>
      <c r="F64" s="29">
        <v>216474.25</v>
      </c>
    </row>
    <row r="65" spans="1:6" ht="12" customHeight="1">
      <c r="A65" s="113"/>
      <c r="B65" s="52"/>
      <c r="C65" s="30"/>
      <c r="D65" s="109"/>
      <c r="E65" s="59" t="s">
        <v>145</v>
      </c>
      <c r="F65" s="29">
        <v>10410</v>
      </c>
    </row>
    <row r="66" spans="1:6" ht="10.5" customHeight="1">
      <c r="A66" s="113"/>
      <c r="B66" s="52"/>
      <c r="C66" s="30"/>
      <c r="D66" s="63" t="s">
        <v>30</v>
      </c>
      <c r="E66" s="105">
        <f>SUM(F55:F65)</f>
        <v>2853561.37</v>
      </c>
      <c r="F66" s="106"/>
    </row>
    <row r="67" spans="1:6" ht="12.75" customHeight="1">
      <c r="A67" s="56"/>
      <c r="B67" s="62" t="s">
        <v>21</v>
      </c>
      <c r="C67" s="40">
        <f>SUM(C13:C66)</f>
        <v>9762919.82</v>
      </c>
      <c r="D67" s="73"/>
      <c r="E67" s="42" t="s">
        <v>21</v>
      </c>
      <c r="F67" s="40">
        <v>6362599.17</v>
      </c>
    </row>
    <row r="68" spans="1:6" ht="12" customHeight="1">
      <c r="A68" s="56"/>
      <c r="B68" s="62" t="s">
        <v>70</v>
      </c>
      <c r="C68" s="40">
        <f>C67+C12</f>
        <v>64409489.02</v>
      </c>
      <c r="D68" s="73"/>
      <c r="E68" s="42" t="s">
        <v>70</v>
      </c>
      <c r="F68" s="40" t="s">
        <v>151</v>
      </c>
    </row>
    <row r="69" spans="1:6" ht="14.25" customHeight="1">
      <c r="A69" s="117" t="s">
        <v>148</v>
      </c>
      <c r="B69" s="117"/>
      <c r="C69" s="117"/>
      <c r="D69" s="117"/>
      <c r="E69" s="117"/>
      <c r="F69" s="117"/>
    </row>
    <row r="70" spans="1:6" ht="27" customHeight="1">
      <c r="A70" s="110" t="s">
        <v>121</v>
      </c>
      <c r="B70" s="110"/>
      <c r="C70" s="110"/>
      <c r="D70" s="94" t="s">
        <v>146</v>
      </c>
      <c r="E70" s="94"/>
      <c r="F70" s="111"/>
    </row>
    <row r="71" spans="1:6" ht="14.25">
      <c r="A71" s="34"/>
      <c r="B71" s="34"/>
      <c r="C71" s="34"/>
      <c r="D71" s="58"/>
      <c r="F71" s="34"/>
    </row>
  </sheetData>
  <mergeCells count="36">
    <mergeCell ref="A6:A12"/>
    <mergeCell ref="D6:E6"/>
    <mergeCell ref="D52:D53"/>
    <mergeCell ref="E54:F54"/>
    <mergeCell ref="D29:D37"/>
    <mergeCell ref="D7:E7"/>
    <mergeCell ref="D8:E8"/>
    <mergeCell ref="D9:E9"/>
    <mergeCell ref="D10:E10"/>
    <mergeCell ref="D13:D16"/>
    <mergeCell ref="A1:F2"/>
    <mergeCell ref="B3:D3"/>
    <mergeCell ref="E3:F3"/>
    <mergeCell ref="A4:A5"/>
    <mergeCell ref="B4:C4"/>
    <mergeCell ref="D4:F4"/>
    <mergeCell ref="D5:E5"/>
    <mergeCell ref="E28:F28"/>
    <mergeCell ref="E13:E15"/>
    <mergeCell ref="D55:D65"/>
    <mergeCell ref="D11:E11"/>
    <mergeCell ref="D12:E12"/>
    <mergeCell ref="A69:F69"/>
    <mergeCell ref="E44:F44"/>
    <mergeCell ref="D45:D50"/>
    <mergeCell ref="E51:F51"/>
    <mergeCell ref="E66:F66"/>
    <mergeCell ref="D18:D25"/>
    <mergeCell ref="A70:C70"/>
    <mergeCell ref="D70:F70"/>
    <mergeCell ref="D38:D43"/>
    <mergeCell ref="A13:A37"/>
    <mergeCell ref="A38:A66"/>
    <mergeCell ref="F13:F15"/>
    <mergeCell ref="E17:F17"/>
    <mergeCell ref="E26:F26"/>
  </mergeCells>
  <printOptions/>
  <pageMargins left="0.75" right="0.75" top="1" bottom="1" header="0.5111111111111111" footer="0.5111111111111111"/>
  <pageSetup firstPageNumber="4" useFirstPageNumber="1" horizontalDpi="600" verticalDpi="600" orientation="landscape" paperSize="9" r:id="rId3"/>
  <headerFooter alignWithMargins="0">
    <oddFooter xml:space="preserve">&amp;C &amp;P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TCL</cp:lastModifiedBy>
  <cp:lastPrinted>2015-01-23T09:36:53Z</cp:lastPrinted>
  <dcterms:created xsi:type="dcterms:W3CDTF">2012-11-26T09:00:05Z</dcterms:created>
  <dcterms:modified xsi:type="dcterms:W3CDTF">2015-01-23T09:59:44Z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